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055" activeTab="1"/>
  </bookViews>
  <sheets>
    <sheet name="Totals" sheetId="1" r:id="rId1"/>
    <sheet name="HMI to lev1.5" sheetId="2" r:id="rId2"/>
    <sheet name="AIA Lev0" sheetId="3" r:id="rId3"/>
    <sheet name="SID_AWESOME" sheetId="4" r:id="rId4"/>
    <sheet name="MASTER" sheetId="5" r:id="rId5"/>
  </sheets>
  <definedNames>
    <definedName name="_xlnm.Print_Area" localSheetId="1">'HMI to lev1.5'!$A$1:$S$26</definedName>
    <definedName name="_xlnm.Print_Titles" localSheetId="1">'HMI to lev1.5'!$3:$3</definedName>
  </definedNames>
  <calcPr fullCalcOnLoad="1"/>
</workbook>
</file>

<file path=xl/sharedStrings.xml><?xml version="1.0" encoding="utf-8"?>
<sst xmlns="http://schemas.openxmlformats.org/spreadsheetml/2006/main" count="150" uniqueCount="73">
  <si>
    <t>draft sheet for estimating drms and sums resources for hmi and aia</t>
  </si>
  <si>
    <t>Product</t>
  </si>
  <si>
    <t>Input image count per output image</t>
  </si>
  <si>
    <t>number of ancillary record queries per output product</t>
  </si>
  <si>
    <t>Total record queries per output product</t>
  </si>
  <si>
    <t>Description of this product or processing step</t>
  </si>
  <si>
    <t>level-0 processing from telem file to lev0.1 product.  Includes ISP and mech tables but no other input.</t>
  </si>
  <si>
    <t>cadence in seconds per output image/product</t>
  </si>
  <si>
    <t>Disk I/O in Mbytes/sec</t>
  </si>
  <si>
    <t>Add sequencer HK data, S/C pointing data, link to lev0.1, FDS data</t>
  </si>
  <si>
    <t>Basically same as 0.3 but with final data.  For purposes here assume one more input keyword only series.</t>
  </si>
  <si>
    <t>output image written count per output record.</t>
  </si>
  <si>
    <t>Input image size in Megabytes</t>
  </si>
  <si>
    <t>Output</t>
  </si>
  <si>
    <t>Input</t>
  </si>
  <si>
    <t>Totals</t>
  </si>
  <si>
    <t>hmi.Fgram_lev1.0q</t>
  </si>
  <si>
    <t>Quicklook Filtergram with flat fielding and bad pixel removal.  Writes bad pixel map (bytes) and reads image and flat field</t>
  </si>
  <si>
    <t>Quicklook continuum observable made from one filtergram.   Assume average of 2 Ic filtergrams</t>
  </si>
  <si>
    <t>Quicklook Dopplergram/LOS magnetogram pair of observables.  Assume made from one set of filtergrams</t>
  </si>
  <si>
    <t>Quicklook Vector field simple model calc, gets Bmag, Btheta, Baz</t>
  </si>
  <si>
    <t>Best and Final continuum observable made from one filtergram.   Assume average of 2 Ic filtergrams</t>
  </si>
  <si>
    <t>Best and Final Dopplergram/LOS magnetogram pair of observables.  Assume made from one set of filtergrams</t>
  </si>
  <si>
    <t>Provisional Best and Final continuum observable made from one filtergram.  Links to best available</t>
  </si>
  <si>
    <t>Provisional Best and Final Dopplergram/LOS magnetogram pair of observables. Links to best available</t>
  </si>
  <si>
    <t>Provisional Best and final Vector field full calc, gets Bmag, Btheta, Baz. Links to best available</t>
  </si>
  <si>
    <t>hmi.lev0.1</t>
  </si>
  <si>
    <t>hmi.lev0.3</t>
  </si>
  <si>
    <t>hmi.lev0.5</t>
  </si>
  <si>
    <t>aia.lev0.1</t>
  </si>
  <si>
    <t>aia.lev0.3</t>
  </si>
  <si>
    <t>aia.lev0.5</t>
  </si>
  <si>
    <t>Output DRMS record size in kilobytes</t>
  </si>
  <si>
    <t>running total disk (MB/s)</t>
  </si>
  <si>
    <t>Archive rate, Mbytes/second</t>
  </si>
  <si>
    <t>hmi.tlm</t>
  </si>
  <si>
    <t>telemetry data from capture system.  Needs to be archived once in SUMS</t>
  </si>
  <si>
    <t>aia.tlm</t>
  </si>
  <si>
    <t>Archive to tape, Fraction</t>
  </si>
  <si>
    <t>Output image size in Megabytes - assume compressed shorts</t>
  </si>
  <si>
    <t>Best and final Vector field full calc, gets Bmag, Btheta, Baz.,ld,ff Assume 12 minutes cadence</t>
  </si>
  <si>
    <t>TOTALS</t>
  </si>
  <si>
    <t>AIA Lev0</t>
  </si>
  <si>
    <t>TOTALS sheet for estimating drms and sums resources for hmi and aia</t>
  </si>
  <si>
    <t>HMI tlm to Lev1.5</t>
  </si>
  <si>
    <t>hmi.Ic_lev1.5q</t>
  </si>
  <si>
    <t>hmi.V_lev1.5q, hmi_M_lev1.5q</t>
  </si>
  <si>
    <t>hmi.B_lev1.5q</t>
  </si>
  <si>
    <t>hmi.Ic_lev1.5</t>
  </si>
  <si>
    <t>hmi.V_lev1.5, hmi_M_lev1.5</t>
  </si>
  <si>
    <t>hmi.B_lev1.5</t>
  </si>
  <si>
    <t>hmi.Ic_lev1.5p</t>
  </si>
  <si>
    <t>hmi.V_lev1.5p, hmi_M_lev1.5p</t>
  </si>
  <si>
    <t>hmi.B_lev1.5p</t>
  </si>
  <si>
    <t>running total DRMS Mega-Queries per day</t>
  </si>
  <si>
    <t>JSOC</t>
  </si>
  <si>
    <t>SID archive</t>
  </si>
  <si>
    <t>raw text files, one per day per site.</t>
  </si>
  <si>
    <t>AWESOME</t>
  </si>
  <si>
    <t>Archive of raw data, one set per day per site per transmitter</t>
  </si>
  <si>
    <t>SID_AWESOME</t>
  </si>
  <si>
    <t>Total Database size in kB/prod</t>
  </si>
  <si>
    <t>Total Database size in kB/ptod</t>
  </si>
  <si>
    <t>running total DRMS growth (GB/yr)</t>
  </si>
  <si>
    <t>running total DRMS growth (MB/day)</t>
  </si>
  <si>
    <t>Retention time in days</t>
  </si>
  <si>
    <t>hmi.Fgram_lev1.0</t>
  </si>
  <si>
    <t>Permanent Disk implied (TB)</t>
  </si>
  <si>
    <t>Disk for permanent series (TB)/year</t>
  </si>
  <si>
    <t>Total DRMS kilo-Queries per day</t>
  </si>
  <si>
    <t>Total DRMS growth (GB/yr)</t>
  </si>
  <si>
    <t>Cumulative</t>
  </si>
  <si>
    <t xml:space="preserve">Best and Final Filtergram with flat fielding and bad pixel removal.  Writes bad pixel map (bytes) and reads image and flat field.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</si>
</sst>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1" fontId="0" fillId="2" borderId="0" xfId="0" applyNumberFormat="1" applyFill="1" applyAlignment="1">
      <alignment vertical="top"/>
    </xf>
    <xf numFmtId="1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1" fontId="0" fillId="2" borderId="1" xfId="0" applyNumberFormat="1" applyFill="1" applyBorder="1" applyAlignment="1">
      <alignment horizontal="left" textRotation="90" wrapText="1"/>
    </xf>
    <xf numFmtId="1" fontId="0" fillId="0" borderId="1" xfId="0" applyNumberFormat="1" applyBorder="1" applyAlignment="1">
      <alignment vertical="top"/>
    </xf>
    <xf numFmtId="1" fontId="0" fillId="2" borderId="2" xfId="0" applyNumberFormat="1" applyFill="1" applyBorder="1" applyAlignment="1">
      <alignment horizontal="left" textRotation="90" wrapText="1"/>
    </xf>
    <xf numFmtId="1" fontId="0" fillId="2" borderId="2" xfId="0" applyNumberFormat="1" applyFill="1" applyBorder="1" applyAlignment="1">
      <alignment vertical="top"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top" wrapText="1"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left" textRotation="90" wrapText="1"/>
    </xf>
    <xf numFmtId="2" fontId="0" fillId="2" borderId="2" xfId="0" applyNumberFormat="1" applyFill="1" applyBorder="1" applyAlignment="1">
      <alignment horizontal="left" textRotation="90" wrapText="1"/>
    </xf>
    <xf numFmtId="2" fontId="0" fillId="2" borderId="2" xfId="0" applyNumberFormat="1" applyFill="1" applyBorder="1" applyAlignment="1">
      <alignment vertical="top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vertical="top" wrapText="1"/>
    </xf>
    <xf numFmtId="2" fontId="0" fillId="4" borderId="1" xfId="0" applyNumberFormat="1" applyFill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2" fontId="0" fillId="2" borderId="2" xfId="0" applyNumberForma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1" fontId="2" fillId="2" borderId="2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8" sqref="I8"/>
    </sheetView>
  </sheetViews>
  <sheetFormatPr defaultColWidth="9.140625" defaultRowHeight="12.75"/>
  <cols>
    <col min="1" max="1" width="18.7109375" style="0" customWidth="1"/>
    <col min="2" max="5" width="9.7109375" style="25" customWidth="1"/>
  </cols>
  <sheetData>
    <row r="1" spans="1:7" ht="28.5" customHeight="1">
      <c r="A1" s="33" t="s">
        <v>43</v>
      </c>
      <c r="B1" s="34"/>
      <c r="C1" s="34"/>
      <c r="D1" s="34"/>
      <c r="E1" s="34"/>
      <c r="F1" s="15"/>
      <c r="G1" s="15"/>
    </row>
    <row r="2" spans="1:7" ht="12.75">
      <c r="A2" s="5"/>
      <c r="B2" s="26"/>
      <c r="C2" s="26"/>
      <c r="D2" s="26"/>
      <c r="E2" s="27"/>
      <c r="F2" s="15"/>
      <c r="G2" s="15"/>
    </row>
    <row r="3" spans="1:7" s="1" customFormat="1" ht="117" customHeight="1">
      <c r="A3" s="5" t="s">
        <v>1</v>
      </c>
      <c r="B3" s="11" t="s">
        <v>8</v>
      </c>
      <c r="C3" s="11" t="s">
        <v>68</v>
      </c>
      <c r="D3" s="11" t="s">
        <v>67</v>
      </c>
      <c r="E3" s="11" t="s">
        <v>34</v>
      </c>
      <c r="F3" s="11" t="s">
        <v>69</v>
      </c>
      <c r="G3" s="11" t="s">
        <v>70</v>
      </c>
    </row>
    <row r="4" spans="1:7" ht="7.5" customHeight="1">
      <c r="A4" s="5"/>
      <c r="B4" s="26"/>
      <c r="C4" s="26"/>
      <c r="D4" s="26"/>
      <c r="E4" s="26"/>
      <c r="F4" s="15"/>
      <c r="G4" s="15"/>
    </row>
    <row r="5" spans="1:7" ht="15" customHeight="1">
      <c r="A5" s="16" t="str">
        <f>'HMI to lev1.5'!A26</f>
        <v>HMI tlm to Lev1.5</v>
      </c>
      <c r="B5" s="31">
        <f>'HMI to lev1.5'!N26</f>
        <v>167.63476638793944</v>
      </c>
      <c r="C5" s="31">
        <f>'HMI to lev1.5'!O26</f>
        <v>32.7484130859375</v>
      </c>
      <c r="D5" s="31">
        <f>'HMI to lev1.5'!P26</f>
        <v>84.42195716779679</v>
      </c>
      <c r="E5" s="31">
        <f>'HMI to lev1.5'!Q26</f>
        <v>15.734288703070746</v>
      </c>
      <c r="F5" s="31">
        <f>'HMI to lev1.5'!R26</f>
        <v>977.2265625</v>
      </c>
      <c r="G5" s="31">
        <f>'HMI to lev1.5'!S26</f>
        <v>116.7831802368164</v>
      </c>
    </row>
    <row r="6" spans="1:7" ht="15" customHeight="1">
      <c r="A6" s="5" t="str">
        <f>'AIA Lev0'!A11</f>
        <v>AIA Lev0</v>
      </c>
      <c r="B6" s="29">
        <f>'AIA Lev0'!N11</f>
        <v>41.57404479980469</v>
      </c>
      <c r="C6" s="29">
        <f>'AIA Lev0'!O11</f>
        <v>0</v>
      </c>
      <c r="D6" s="29">
        <f>'AIA Lev0'!P11</f>
        <v>51.383935986086726</v>
      </c>
      <c r="E6" s="29">
        <f>'AIA Lev0'!Q11</f>
        <v>20.787022399902344</v>
      </c>
      <c r="F6" s="29">
        <f>'AIA Lev0'!R11</f>
        <v>849.375</v>
      </c>
      <c r="G6" s="29">
        <f>'AIA Lev0'!S11</f>
        <v>36.29058837890625</v>
      </c>
    </row>
    <row r="7" spans="1:7" ht="15" customHeight="1">
      <c r="A7" s="5"/>
      <c r="B7" s="29"/>
      <c r="C7" s="29"/>
      <c r="D7" s="29"/>
      <c r="E7" s="29"/>
      <c r="F7" s="30"/>
      <c r="G7" s="30"/>
    </row>
    <row r="8" spans="1:7" ht="15" customHeight="1">
      <c r="A8" s="5"/>
      <c r="B8" s="29"/>
      <c r="C8" s="29"/>
      <c r="D8" s="29"/>
      <c r="E8" s="29"/>
      <c r="F8" s="30"/>
      <c r="G8" s="30"/>
    </row>
    <row r="9" spans="1:7" ht="15" customHeight="1">
      <c r="A9" s="5"/>
      <c r="B9" s="29"/>
      <c r="C9" s="29"/>
      <c r="D9" s="29"/>
      <c r="E9" s="29"/>
      <c r="F9" s="30"/>
      <c r="G9" s="30"/>
    </row>
    <row r="10" spans="1:7" ht="15" customHeight="1">
      <c r="A10" s="5"/>
      <c r="B10" s="29"/>
      <c r="C10" s="29"/>
      <c r="D10" s="29"/>
      <c r="E10" s="29"/>
      <c r="F10" s="30"/>
      <c r="G10" s="30"/>
    </row>
    <row r="11" spans="1:7" ht="15" customHeight="1">
      <c r="A11" s="5"/>
      <c r="B11" s="29"/>
      <c r="C11" s="29"/>
      <c r="D11" s="29"/>
      <c r="E11" s="29"/>
      <c r="F11" s="30"/>
      <c r="G11" s="30"/>
    </row>
    <row r="12" spans="1:7" ht="15" customHeight="1">
      <c r="A12" s="5" t="s">
        <v>60</v>
      </c>
      <c r="B12" s="29">
        <f>SID_AWESOME!N9</f>
        <v>0.13564814814814816</v>
      </c>
      <c r="C12" s="29">
        <f>SID_AWESOME!O9</f>
        <v>0.00852823257446289</v>
      </c>
      <c r="D12" s="29">
        <f>SID_AWESOME!P9</f>
        <v>0</v>
      </c>
      <c r="E12" s="29">
        <f>SID_AWESOME!Q9</f>
        <v>0.06782407407407408</v>
      </c>
      <c r="F12" s="29">
        <f>SID_AWESOME!R9</f>
        <v>168.751953125</v>
      </c>
      <c r="G12" s="29">
        <f>SID_AWESOME!S9</f>
        <v>0.11138916015625</v>
      </c>
    </row>
    <row r="13" spans="1:7" ht="28.5" customHeight="1">
      <c r="A13" s="5" t="s">
        <v>55</v>
      </c>
      <c r="B13" s="32">
        <f aca="true" t="shared" si="0" ref="B13:G13">SUM(B5:B12)</f>
        <v>209.34445933589225</v>
      </c>
      <c r="C13" s="32">
        <f t="shared" si="0"/>
        <v>32.75694131851196</v>
      </c>
      <c r="D13" s="32">
        <f t="shared" si="0"/>
        <v>135.80589315388352</v>
      </c>
      <c r="E13" s="32">
        <f t="shared" si="0"/>
        <v>36.58913517704716</v>
      </c>
      <c r="F13" s="32">
        <f t="shared" si="0"/>
        <v>1995.353515625</v>
      </c>
      <c r="G13" s="32">
        <f t="shared" si="0"/>
        <v>153.1851577758789</v>
      </c>
    </row>
  </sheetData>
  <mergeCells count="1">
    <mergeCell ref="A1:E1"/>
  </mergeCells>
  <printOptions/>
  <pageMargins left="0.75" right="0.75" top="1" bottom="1" header="0.5" footer="0.5"/>
  <pageSetup horizontalDpi="355" verticalDpi="3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workbookViewId="0" topLeftCell="A2">
      <pane ySplit="2850" topLeftCell="BM12" activePane="bottomLeft" state="split"/>
      <selection pane="topLeft" activeCell="F3" sqref="F3"/>
      <selection pane="bottomLeft" activeCell="L32" sqref="L32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11" width="7.7109375" style="2" customWidth="1"/>
    <col min="12" max="13" width="7.7109375" style="3" customWidth="1"/>
    <col min="14" max="19" width="7.7109375" style="7" customWidth="1"/>
  </cols>
  <sheetData>
    <row r="1" spans="1:19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</row>
    <row r="2" spans="1:19" ht="12.75">
      <c r="A2" s="5"/>
      <c r="B2" s="5"/>
      <c r="C2" s="36" t="s">
        <v>13</v>
      </c>
      <c r="D2" s="37"/>
      <c r="E2" s="37"/>
      <c r="F2" s="37"/>
      <c r="G2" s="37"/>
      <c r="H2" s="38"/>
      <c r="I2" s="35" t="s">
        <v>14</v>
      </c>
      <c r="J2" s="35"/>
      <c r="K2" s="35"/>
      <c r="L2" s="42" t="s">
        <v>15</v>
      </c>
      <c r="M2" s="43"/>
      <c r="N2" s="43"/>
      <c r="O2" s="44"/>
      <c r="P2" s="44"/>
      <c r="Q2" s="44"/>
      <c r="R2" s="44"/>
      <c r="S2" s="45"/>
    </row>
    <row r="3" spans="1:19" s="1" customFormat="1" ht="117" customHeight="1">
      <c r="A3" s="5" t="s">
        <v>1</v>
      </c>
      <c r="B3" s="5" t="s">
        <v>5</v>
      </c>
      <c r="C3" s="9" t="s">
        <v>7</v>
      </c>
      <c r="D3" s="9" t="s">
        <v>11</v>
      </c>
      <c r="E3" s="9" t="s">
        <v>39</v>
      </c>
      <c r="F3" s="9" t="s">
        <v>65</v>
      </c>
      <c r="G3" s="9" t="s">
        <v>38</v>
      </c>
      <c r="H3" s="9" t="s">
        <v>32</v>
      </c>
      <c r="I3" s="9" t="s">
        <v>2</v>
      </c>
      <c r="J3" s="9" t="s">
        <v>12</v>
      </c>
      <c r="K3" s="9" t="s">
        <v>3</v>
      </c>
      <c r="L3" s="10" t="s">
        <v>4</v>
      </c>
      <c r="M3" s="10" t="s">
        <v>61</v>
      </c>
      <c r="N3" s="13" t="s">
        <v>8</v>
      </c>
      <c r="O3" s="11" t="s">
        <v>68</v>
      </c>
      <c r="P3" s="11" t="s">
        <v>67</v>
      </c>
      <c r="Q3" s="11" t="s">
        <v>34</v>
      </c>
      <c r="R3" s="11" t="s">
        <v>69</v>
      </c>
      <c r="S3" s="11" t="s">
        <v>70</v>
      </c>
    </row>
    <row r="4" spans="1:19" ht="7.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14"/>
      <c r="O4" s="8"/>
      <c r="P4" s="8"/>
      <c r="Q4" s="8"/>
      <c r="R4" s="8"/>
      <c r="S4" s="8"/>
    </row>
    <row r="5" spans="1:19" ht="48" customHeight="1">
      <c r="A5" s="5" t="s">
        <v>35</v>
      </c>
      <c r="B5" s="5" t="s">
        <v>36</v>
      </c>
      <c r="C5" s="4">
        <v>60</v>
      </c>
      <c r="D5" s="4">
        <v>2</v>
      </c>
      <c r="E5" s="12">
        <f>55000000/1024/1024*(60/2)/8</f>
        <v>196.69532775878906</v>
      </c>
      <c r="F5" s="12">
        <v>30</v>
      </c>
      <c r="G5" s="4">
        <v>1</v>
      </c>
      <c r="H5" s="4">
        <v>0.2</v>
      </c>
      <c r="I5" s="4">
        <v>1</v>
      </c>
      <c r="J5" s="12">
        <f>55000000/1024/1024*(60/2)/8</f>
        <v>196.69532775878906</v>
      </c>
      <c r="K5" s="4">
        <v>1</v>
      </c>
      <c r="L5" s="6">
        <f>1+K5</f>
        <v>2</v>
      </c>
      <c r="M5" s="6">
        <f>D5*H5</f>
        <v>0.4</v>
      </c>
      <c r="N5" s="14">
        <f aca="true" t="shared" si="0" ref="N5:N25">(D5*E5+I5*J5)/C5</f>
        <v>9.834766387939453</v>
      </c>
      <c r="O5" s="8">
        <f>IF($F5&gt;2000,$E5/$C5*365*86400/1024/1024,0)</f>
        <v>0</v>
      </c>
      <c r="P5" s="8">
        <f>IF($F5&lt;=2000,$E5/$C5*$F5*86400/1024/1024,0)</f>
        <v>8.10359779279679</v>
      </c>
      <c r="Q5" s="8">
        <f>$D5*$E5*$G5/$C5</f>
        <v>6.556510925292969</v>
      </c>
      <c r="R5" s="8">
        <f>L5*86400/C5/1024</f>
        <v>2.8125</v>
      </c>
      <c r="S5" s="20">
        <f aca="true" t="shared" si="1" ref="S5:S25">M5/C5*365*86400/1024/1024</f>
        <v>0.20050048828125003</v>
      </c>
    </row>
    <row r="6" spans="1:19" ht="57" customHeight="1">
      <c r="A6" s="5" t="s">
        <v>26</v>
      </c>
      <c r="B6" s="5" t="s">
        <v>6</v>
      </c>
      <c r="C6" s="4">
        <v>2</v>
      </c>
      <c r="D6" s="4">
        <v>1</v>
      </c>
      <c r="E6" s="4">
        <v>16</v>
      </c>
      <c r="F6" s="4">
        <v>100</v>
      </c>
      <c r="G6" s="4">
        <v>1</v>
      </c>
      <c r="H6" s="4">
        <v>1.5</v>
      </c>
      <c r="I6" s="4">
        <v>1</v>
      </c>
      <c r="J6" s="4">
        <v>16</v>
      </c>
      <c r="K6" s="4">
        <v>0</v>
      </c>
      <c r="L6" s="6">
        <f>1+K6</f>
        <v>1</v>
      </c>
      <c r="M6" s="6">
        <f aca="true" t="shared" si="2" ref="M6:M26">D6*H6</f>
        <v>1.5</v>
      </c>
      <c r="N6" s="14">
        <f t="shared" si="0"/>
        <v>16</v>
      </c>
      <c r="O6" s="8">
        <f aca="true" t="shared" si="3" ref="O6:O25">IF($F6&gt;2000,$E6/$C6*365*86400/1024/1024,0)</f>
        <v>0</v>
      </c>
      <c r="P6" s="8">
        <f aca="true" t="shared" si="4" ref="P6:P25">IF($F6&lt;=2000,$E6/$C6*$F6*86400/1024/1024,0)</f>
        <v>65.91796875</v>
      </c>
      <c r="Q6" s="8">
        <f aca="true" t="shared" si="5" ref="Q6:Q25">$D6*$E6*$G6/$C6</f>
        <v>8</v>
      </c>
      <c r="R6" s="8">
        <f aca="true" t="shared" si="6" ref="R6:R25">L6*86400/C6/1024</f>
        <v>42.1875</v>
      </c>
      <c r="S6" s="20">
        <f t="shared" si="1"/>
        <v>22.556304931640625</v>
      </c>
    </row>
    <row r="7" spans="1:19" ht="45.75" customHeight="1">
      <c r="A7" s="5" t="s">
        <v>27</v>
      </c>
      <c r="B7" s="5" t="s">
        <v>9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1.5</v>
      </c>
      <c r="I7" s="4">
        <v>0</v>
      </c>
      <c r="J7" s="4">
        <v>0</v>
      </c>
      <c r="K7" s="4">
        <v>3</v>
      </c>
      <c r="L7" s="6">
        <f>1+K7</f>
        <v>4</v>
      </c>
      <c r="M7" s="6">
        <f t="shared" si="2"/>
        <v>0</v>
      </c>
      <c r="N7" s="14">
        <f t="shared" si="0"/>
        <v>0</v>
      </c>
      <c r="O7" s="8">
        <f t="shared" si="3"/>
        <v>0</v>
      </c>
      <c r="P7" s="8">
        <f t="shared" si="4"/>
        <v>0</v>
      </c>
      <c r="Q7" s="8">
        <f t="shared" si="5"/>
        <v>0</v>
      </c>
      <c r="R7" s="8">
        <f t="shared" si="6"/>
        <v>168.75</v>
      </c>
      <c r="S7" s="20">
        <f t="shared" si="1"/>
        <v>0</v>
      </c>
    </row>
    <row r="8" spans="1:19" ht="59.25" customHeight="1">
      <c r="A8" s="5" t="s">
        <v>28</v>
      </c>
      <c r="B8" s="5" t="s">
        <v>10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1.5</v>
      </c>
      <c r="I8" s="4">
        <v>0</v>
      </c>
      <c r="J8" s="4">
        <v>0</v>
      </c>
      <c r="K8" s="4">
        <v>4</v>
      </c>
      <c r="L8" s="6">
        <f aca="true" t="shared" si="7" ref="L8:L19">D8+I8+K8</f>
        <v>4</v>
      </c>
      <c r="M8" s="6">
        <f t="shared" si="2"/>
        <v>0</v>
      </c>
      <c r="N8" s="14">
        <f t="shared" si="0"/>
        <v>0</v>
      </c>
      <c r="O8" s="8">
        <f t="shared" si="3"/>
        <v>0</v>
      </c>
      <c r="P8" s="8">
        <f t="shared" si="4"/>
        <v>0</v>
      </c>
      <c r="Q8" s="8">
        <f t="shared" si="5"/>
        <v>0</v>
      </c>
      <c r="R8" s="8">
        <f t="shared" si="6"/>
        <v>168.75</v>
      </c>
      <c r="S8" s="20">
        <f t="shared" si="1"/>
        <v>0</v>
      </c>
    </row>
    <row r="9" spans="1:19" ht="58.5" customHeight="1">
      <c r="A9" s="5" t="s">
        <v>16</v>
      </c>
      <c r="B9" s="5" t="s">
        <v>17</v>
      </c>
      <c r="C9" s="4">
        <v>2</v>
      </c>
      <c r="D9" s="4">
        <v>2</v>
      </c>
      <c r="E9" s="4">
        <f>8+16</f>
        <v>24</v>
      </c>
      <c r="F9" s="4">
        <v>5</v>
      </c>
      <c r="G9" s="4">
        <v>0</v>
      </c>
      <c r="H9" s="4">
        <v>1.5</v>
      </c>
      <c r="I9" s="4">
        <v>2</v>
      </c>
      <c r="J9" s="4">
        <f>2*16</f>
        <v>32</v>
      </c>
      <c r="K9" s="4">
        <v>1</v>
      </c>
      <c r="L9" s="6">
        <f t="shared" si="7"/>
        <v>5</v>
      </c>
      <c r="M9" s="6">
        <f t="shared" si="2"/>
        <v>3</v>
      </c>
      <c r="N9" s="14">
        <f t="shared" si="0"/>
        <v>56</v>
      </c>
      <c r="O9" s="8">
        <f t="shared" si="3"/>
        <v>0</v>
      </c>
      <c r="P9" s="8">
        <f t="shared" si="4"/>
        <v>4.94384765625</v>
      </c>
      <c r="Q9" s="8">
        <f t="shared" si="5"/>
        <v>0</v>
      </c>
      <c r="R9" s="8">
        <f t="shared" si="6"/>
        <v>210.9375</v>
      </c>
      <c r="S9" s="20">
        <f t="shared" si="1"/>
        <v>45.11260986328125</v>
      </c>
    </row>
    <row r="10" spans="1:19" ht="72.75" customHeight="1">
      <c r="A10" s="5" t="s">
        <v>66</v>
      </c>
      <c r="B10" s="5" t="s">
        <v>72</v>
      </c>
      <c r="C10" s="49">
        <v>2</v>
      </c>
      <c r="D10" s="49">
        <v>2</v>
      </c>
      <c r="E10" s="49">
        <f>8+16</f>
        <v>24</v>
      </c>
      <c r="F10" s="49">
        <v>5</v>
      </c>
      <c r="G10" s="49">
        <v>0</v>
      </c>
      <c r="H10" s="49">
        <v>1.5</v>
      </c>
      <c r="I10" s="49">
        <v>2</v>
      </c>
      <c r="J10" s="49">
        <f>2*16</f>
        <v>32</v>
      </c>
      <c r="K10" s="49">
        <v>1</v>
      </c>
      <c r="L10" s="50">
        <f t="shared" si="7"/>
        <v>5</v>
      </c>
      <c r="M10" s="50">
        <f t="shared" si="2"/>
        <v>3</v>
      </c>
      <c r="N10" s="51">
        <f t="shared" si="0"/>
        <v>56</v>
      </c>
      <c r="O10" s="52">
        <f t="shared" si="3"/>
        <v>0</v>
      </c>
      <c r="P10" s="52">
        <f t="shared" si="4"/>
        <v>4.94384765625</v>
      </c>
      <c r="Q10" s="52">
        <f t="shared" si="5"/>
        <v>0</v>
      </c>
      <c r="R10" s="52">
        <f t="shared" si="6"/>
        <v>210.9375</v>
      </c>
      <c r="S10" s="53">
        <f t="shared" si="1"/>
        <v>45.11260986328125</v>
      </c>
    </row>
    <row r="11" spans="1:19" ht="54.75" customHeight="1">
      <c r="A11" s="5" t="s">
        <v>45</v>
      </c>
      <c r="B11" s="5" t="s">
        <v>18</v>
      </c>
      <c r="C11" s="49">
        <v>45</v>
      </c>
      <c r="D11" s="49">
        <v>1</v>
      </c>
      <c r="E11" s="49">
        <v>16</v>
      </c>
      <c r="F11" s="49">
        <v>5</v>
      </c>
      <c r="G11" s="49">
        <v>0</v>
      </c>
      <c r="H11" s="49">
        <v>0.5</v>
      </c>
      <c r="I11" s="49">
        <v>2</v>
      </c>
      <c r="J11" s="49">
        <v>16</v>
      </c>
      <c r="K11" s="49">
        <v>0</v>
      </c>
      <c r="L11" s="50">
        <f t="shared" si="7"/>
        <v>3</v>
      </c>
      <c r="M11" s="50">
        <f t="shared" si="2"/>
        <v>0.5</v>
      </c>
      <c r="N11" s="51">
        <f t="shared" si="0"/>
        <v>1.0666666666666667</v>
      </c>
      <c r="O11" s="52">
        <f t="shared" si="3"/>
        <v>0</v>
      </c>
      <c r="P11" s="52">
        <f t="shared" si="4"/>
        <v>0.146484375</v>
      </c>
      <c r="Q11" s="52">
        <f t="shared" si="5"/>
        <v>0</v>
      </c>
      <c r="R11" s="52">
        <f t="shared" si="6"/>
        <v>5.625</v>
      </c>
      <c r="S11" s="53">
        <f t="shared" si="1"/>
        <v>0.33416748046875</v>
      </c>
    </row>
    <row r="12" spans="1:19" ht="55.5" customHeight="1">
      <c r="A12" s="5" t="s">
        <v>46</v>
      </c>
      <c r="B12" s="5" t="s">
        <v>19</v>
      </c>
      <c r="C12" s="49">
        <v>22.5</v>
      </c>
      <c r="D12" s="49">
        <v>1</v>
      </c>
      <c r="E12" s="49">
        <v>16</v>
      </c>
      <c r="F12" s="49">
        <v>5</v>
      </c>
      <c r="G12" s="49">
        <v>0</v>
      </c>
      <c r="H12" s="49">
        <v>0.5</v>
      </c>
      <c r="I12" s="49">
        <v>12</v>
      </c>
      <c r="J12" s="49">
        <v>16</v>
      </c>
      <c r="K12" s="49">
        <v>0</v>
      </c>
      <c r="L12" s="50">
        <f t="shared" si="7"/>
        <v>13</v>
      </c>
      <c r="M12" s="50">
        <f t="shared" si="2"/>
        <v>0.5</v>
      </c>
      <c r="N12" s="51">
        <f t="shared" si="0"/>
        <v>9.244444444444444</v>
      </c>
      <c r="O12" s="52">
        <f t="shared" si="3"/>
        <v>0</v>
      </c>
      <c r="P12" s="52">
        <f t="shared" si="4"/>
        <v>0.29296875</v>
      </c>
      <c r="Q12" s="52">
        <f t="shared" si="5"/>
        <v>0</v>
      </c>
      <c r="R12" s="52">
        <f t="shared" si="6"/>
        <v>48.75</v>
      </c>
      <c r="S12" s="53">
        <f t="shared" si="1"/>
        <v>0.6683349609375</v>
      </c>
    </row>
    <row r="13" spans="1:19" ht="38.25">
      <c r="A13" s="5" t="s">
        <v>47</v>
      </c>
      <c r="B13" s="5" t="s">
        <v>20</v>
      </c>
      <c r="C13" s="49">
        <v>90</v>
      </c>
      <c r="D13" s="49">
        <v>3</v>
      </c>
      <c r="E13" s="49">
        <v>16</v>
      </c>
      <c r="F13" s="49">
        <v>5</v>
      </c>
      <c r="G13" s="49">
        <v>0</v>
      </c>
      <c r="H13" s="49">
        <v>0.5</v>
      </c>
      <c r="I13" s="49">
        <v>24</v>
      </c>
      <c r="J13" s="49">
        <v>16</v>
      </c>
      <c r="K13" s="49">
        <v>0</v>
      </c>
      <c r="L13" s="50">
        <f t="shared" si="7"/>
        <v>27</v>
      </c>
      <c r="M13" s="50">
        <f t="shared" si="2"/>
        <v>1.5</v>
      </c>
      <c r="N13" s="51">
        <f t="shared" si="0"/>
        <v>4.8</v>
      </c>
      <c r="O13" s="52">
        <f t="shared" si="3"/>
        <v>0</v>
      </c>
      <c r="P13" s="52">
        <f t="shared" si="4"/>
        <v>0.0732421875</v>
      </c>
      <c r="Q13" s="52">
        <f t="shared" si="5"/>
        <v>0</v>
      </c>
      <c r="R13" s="52">
        <f t="shared" si="6"/>
        <v>25.3125</v>
      </c>
      <c r="S13" s="53">
        <f t="shared" si="1"/>
        <v>0.501251220703125</v>
      </c>
    </row>
    <row r="14" spans="1:19" ht="52.5" customHeight="1">
      <c r="A14" s="5" t="s">
        <v>48</v>
      </c>
      <c r="B14" s="5" t="s">
        <v>21</v>
      </c>
      <c r="C14" s="49">
        <v>45</v>
      </c>
      <c r="D14" s="49">
        <v>1</v>
      </c>
      <c r="E14" s="49">
        <v>16</v>
      </c>
      <c r="F14" s="49">
        <v>10000</v>
      </c>
      <c r="G14" s="49">
        <v>1</v>
      </c>
      <c r="H14" s="49">
        <v>0.5</v>
      </c>
      <c r="I14" s="49">
        <v>2</v>
      </c>
      <c r="J14" s="49">
        <v>16</v>
      </c>
      <c r="K14" s="49">
        <v>0</v>
      </c>
      <c r="L14" s="50">
        <f t="shared" si="7"/>
        <v>3</v>
      </c>
      <c r="M14" s="50">
        <f t="shared" si="2"/>
        <v>0.5</v>
      </c>
      <c r="N14" s="51">
        <f t="shared" si="0"/>
        <v>1.0666666666666667</v>
      </c>
      <c r="O14" s="52">
        <f t="shared" si="3"/>
        <v>10.693359375</v>
      </c>
      <c r="P14" s="52">
        <f t="shared" si="4"/>
        <v>0</v>
      </c>
      <c r="Q14" s="52">
        <f t="shared" si="5"/>
        <v>0.35555555555555557</v>
      </c>
      <c r="R14" s="52">
        <f t="shared" si="6"/>
        <v>5.625</v>
      </c>
      <c r="S14" s="53">
        <f t="shared" si="1"/>
        <v>0.33416748046875</v>
      </c>
    </row>
    <row r="15" spans="1:19" ht="67.5" customHeight="1">
      <c r="A15" s="5" t="s">
        <v>49</v>
      </c>
      <c r="B15" s="5" t="s">
        <v>22</v>
      </c>
      <c r="C15" s="49">
        <v>22.5</v>
      </c>
      <c r="D15" s="49">
        <v>1</v>
      </c>
      <c r="E15" s="49">
        <v>16</v>
      </c>
      <c r="F15" s="49">
        <v>10000</v>
      </c>
      <c r="G15" s="49">
        <v>1</v>
      </c>
      <c r="H15" s="49">
        <v>0.5</v>
      </c>
      <c r="I15" s="49">
        <v>12</v>
      </c>
      <c r="J15" s="49">
        <v>16</v>
      </c>
      <c r="K15" s="49">
        <v>0</v>
      </c>
      <c r="L15" s="50">
        <f t="shared" si="7"/>
        <v>13</v>
      </c>
      <c r="M15" s="50">
        <f t="shared" si="2"/>
        <v>0.5</v>
      </c>
      <c r="N15" s="51">
        <f t="shared" si="0"/>
        <v>9.244444444444444</v>
      </c>
      <c r="O15" s="52">
        <f t="shared" si="3"/>
        <v>21.38671875</v>
      </c>
      <c r="P15" s="52">
        <f t="shared" si="4"/>
        <v>0</v>
      </c>
      <c r="Q15" s="52">
        <f t="shared" si="5"/>
        <v>0.7111111111111111</v>
      </c>
      <c r="R15" s="52">
        <f t="shared" si="6"/>
        <v>48.75</v>
      </c>
      <c r="S15" s="53">
        <f t="shared" si="1"/>
        <v>0.6683349609375</v>
      </c>
    </row>
    <row r="16" spans="1:19" ht="54.75" customHeight="1">
      <c r="A16" s="5" t="s">
        <v>50</v>
      </c>
      <c r="B16" s="5" t="s">
        <v>40</v>
      </c>
      <c r="C16" s="49">
        <v>720</v>
      </c>
      <c r="D16" s="49">
        <v>5</v>
      </c>
      <c r="E16" s="49">
        <v>16</v>
      </c>
      <c r="F16" s="49">
        <v>10000</v>
      </c>
      <c r="G16" s="49">
        <v>1</v>
      </c>
      <c r="H16" s="49">
        <v>0.5</v>
      </c>
      <c r="I16" s="49">
        <f>24*8</f>
        <v>192</v>
      </c>
      <c r="J16" s="49">
        <v>16</v>
      </c>
      <c r="K16" s="49">
        <v>0</v>
      </c>
      <c r="L16" s="50">
        <f t="shared" si="7"/>
        <v>197</v>
      </c>
      <c r="M16" s="50">
        <f t="shared" si="2"/>
        <v>2.5</v>
      </c>
      <c r="N16" s="51">
        <f t="shared" si="0"/>
        <v>4.377777777777778</v>
      </c>
      <c r="O16" s="52">
        <f t="shared" si="3"/>
        <v>0.6683349609375</v>
      </c>
      <c r="P16" s="52">
        <f t="shared" si="4"/>
        <v>0</v>
      </c>
      <c r="Q16" s="52">
        <f t="shared" si="5"/>
        <v>0.1111111111111111</v>
      </c>
      <c r="R16" s="52">
        <f t="shared" si="6"/>
        <v>23.0859375</v>
      </c>
      <c r="S16" s="53">
        <f t="shared" si="1"/>
        <v>0.10442733764648436</v>
      </c>
    </row>
    <row r="17" spans="1:19" ht="58.5" customHeight="1">
      <c r="A17" s="5" t="s">
        <v>51</v>
      </c>
      <c r="B17" s="5" t="s">
        <v>23</v>
      </c>
      <c r="C17" s="49">
        <v>45</v>
      </c>
      <c r="D17" s="49">
        <v>1</v>
      </c>
      <c r="E17" s="49">
        <v>0</v>
      </c>
      <c r="F17" s="49">
        <v>0</v>
      </c>
      <c r="G17" s="49">
        <v>0</v>
      </c>
      <c r="H17" s="49">
        <v>0.5</v>
      </c>
      <c r="I17" s="49">
        <v>1</v>
      </c>
      <c r="J17" s="49">
        <v>0</v>
      </c>
      <c r="K17" s="49">
        <v>0</v>
      </c>
      <c r="L17" s="50">
        <f t="shared" si="7"/>
        <v>2</v>
      </c>
      <c r="M17" s="50">
        <f t="shared" si="2"/>
        <v>0.5</v>
      </c>
      <c r="N17" s="51">
        <f t="shared" si="0"/>
        <v>0</v>
      </c>
      <c r="O17" s="52">
        <f t="shared" si="3"/>
        <v>0</v>
      </c>
      <c r="P17" s="52">
        <f t="shared" si="4"/>
        <v>0</v>
      </c>
      <c r="Q17" s="52">
        <f t="shared" si="5"/>
        <v>0</v>
      </c>
      <c r="R17" s="52">
        <f t="shared" si="6"/>
        <v>3.75</v>
      </c>
      <c r="S17" s="53">
        <f t="shared" si="1"/>
        <v>0.33416748046875</v>
      </c>
    </row>
    <row r="18" spans="1:19" ht="66" customHeight="1">
      <c r="A18" s="5" t="s">
        <v>52</v>
      </c>
      <c r="B18" s="5" t="s">
        <v>24</v>
      </c>
      <c r="C18" s="49">
        <v>22.5</v>
      </c>
      <c r="D18" s="49">
        <v>1</v>
      </c>
      <c r="E18" s="49">
        <v>0</v>
      </c>
      <c r="F18" s="49">
        <v>0</v>
      </c>
      <c r="G18" s="49">
        <v>0</v>
      </c>
      <c r="H18" s="49">
        <v>0.5</v>
      </c>
      <c r="I18" s="49">
        <v>2</v>
      </c>
      <c r="J18" s="49">
        <v>0</v>
      </c>
      <c r="K18" s="49">
        <v>0</v>
      </c>
      <c r="L18" s="50">
        <f t="shared" si="7"/>
        <v>3</v>
      </c>
      <c r="M18" s="50">
        <f t="shared" si="2"/>
        <v>0.5</v>
      </c>
      <c r="N18" s="51">
        <f t="shared" si="0"/>
        <v>0</v>
      </c>
      <c r="O18" s="52">
        <f t="shared" si="3"/>
        <v>0</v>
      </c>
      <c r="P18" s="52">
        <f t="shared" si="4"/>
        <v>0</v>
      </c>
      <c r="Q18" s="52">
        <f t="shared" si="5"/>
        <v>0</v>
      </c>
      <c r="R18" s="52">
        <f t="shared" si="6"/>
        <v>11.25</v>
      </c>
      <c r="S18" s="53">
        <f t="shared" si="1"/>
        <v>0.6683349609375</v>
      </c>
    </row>
    <row r="19" spans="1:19" ht="60" customHeight="1">
      <c r="A19" s="5" t="s">
        <v>53</v>
      </c>
      <c r="B19" s="5" t="s">
        <v>25</v>
      </c>
      <c r="C19" s="49">
        <v>720</v>
      </c>
      <c r="D19" s="49">
        <v>3</v>
      </c>
      <c r="E19" s="49">
        <v>0</v>
      </c>
      <c r="F19" s="49">
        <v>0</v>
      </c>
      <c r="G19" s="49">
        <v>0</v>
      </c>
      <c r="H19" s="49">
        <v>1.5</v>
      </c>
      <c r="I19" s="49">
        <v>3</v>
      </c>
      <c r="J19" s="49">
        <v>0</v>
      </c>
      <c r="K19" s="49">
        <v>0</v>
      </c>
      <c r="L19" s="50">
        <f t="shared" si="7"/>
        <v>6</v>
      </c>
      <c r="M19" s="50">
        <f t="shared" si="2"/>
        <v>4.5</v>
      </c>
      <c r="N19" s="51">
        <f t="shared" si="0"/>
        <v>0</v>
      </c>
      <c r="O19" s="52">
        <f t="shared" si="3"/>
        <v>0</v>
      </c>
      <c r="P19" s="52">
        <f t="shared" si="4"/>
        <v>0</v>
      </c>
      <c r="Q19" s="52">
        <f t="shared" si="5"/>
        <v>0</v>
      </c>
      <c r="R19" s="52">
        <f t="shared" si="6"/>
        <v>0.703125</v>
      </c>
      <c r="S19" s="53">
        <f t="shared" si="1"/>
        <v>0.18796920776367188</v>
      </c>
    </row>
    <row r="20" spans="1:19" ht="15">
      <c r="A20" s="5"/>
      <c r="B20" s="5"/>
      <c r="C20" s="49">
        <v>1</v>
      </c>
      <c r="D20" s="49"/>
      <c r="E20" s="49"/>
      <c r="F20" s="49"/>
      <c r="G20" s="49"/>
      <c r="H20" s="49"/>
      <c r="I20" s="49"/>
      <c r="J20" s="49"/>
      <c r="K20" s="49"/>
      <c r="L20" s="50">
        <f aca="true" t="shared" si="8" ref="L20:L26">D20+I20+K20</f>
        <v>0</v>
      </c>
      <c r="M20" s="50">
        <f t="shared" si="2"/>
        <v>0</v>
      </c>
      <c r="N20" s="51">
        <f t="shared" si="0"/>
        <v>0</v>
      </c>
      <c r="O20" s="52">
        <f t="shared" si="3"/>
        <v>0</v>
      </c>
      <c r="P20" s="52">
        <f t="shared" si="4"/>
        <v>0</v>
      </c>
      <c r="Q20" s="52">
        <f t="shared" si="5"/>
        <v>0</v>
      </c>
      <c r="R20" s="52">
        <f t="shared" si="6"/>
        <v>0</v>
      </c>
      <c r="S20" s="53">
        <f t="shared" si="1"/>
        <v>0</v>
      </c>
    </row>
    <row r="21" spans="1:19" ht="15">
      <c r="A21" s="5"/>
      <c r="B21" s="5"/>
      <c r="C21" s="49">
        <v>1</v>
      </c>
      <c r="D21" s="49"/>
      <c r="E21" s="49"/>
      <c r="F21" s="49"/>
      <c r="G21" s="49"/>
      <c r="H21" s="49"/>
      <c r="I21" s="49"/>
      <c r="J21" s="49"/>
      <c r="K21" s="49"/>
      <c r="L21" s="50">
        <f t="shared" si="8"/>
        <v>0</v>
      </c>
      <c r="M21" s="50">
        <f t="shared" si="2"/>
        <v>0</v>
      </c>
      <c r="N21" s="51">
        <f t="shared" si="0"/>
        <v>0</v>
      </c>
      <c r="O21" s="52">
        <f t="shared" si="3"/>
        <v>0</v>
      </c>
      <c r="P21" s="52">
        <f t="shared" si="4"/>
        <v>0</v>
      </c>
      <c r="Q21" s="52">
        <f t="shared" si="5"/>
        <v>0</v>
      </c>
      <c r="R21" s="52">
        <f t="shared" si="6"/>
        <v>0</v>
      </c>
      <c r="S21" s="53">
        <f t="shared" si="1"/>
        <v>0</v>
      </c>
    </row>
    <row r="22" spans="1:19" ht="15">
      <c r="A22" s="5"/>
      <c r="B22" s="5"/>
      <c r="C22" s="49">
        <v>1</v>
      </c>
      <c r="D22" s="49"/>
      <c r="E22" s="49"/>
      <c r="F22" s="49"/>
      <c r="G22" s="49"/>
      <c r="H22" s="49"/>
      <c r="I22" s="49"/>
      <c r="J22" s="49"/>
      <c r="K22" s="49"/>
      <c r="L22" s="50">
        <f t="shared" si="8"/>
        <v>0</v>
      </c>
      <c r="M22" s="50">
        <f t="shared" si="2"/>
        <v>0</v>
      </c>
      <c r="N22" s="51">
        <f t="shared" si="0"/>
        <v>0</v>
      </c>
      <c r="O22" s="52">
        <f t="shared" si="3"/>
        <v>0</v>
      </c>
      <c r="P22" s="52">
        <f t="shared" si="4"/>
        <v>0</v>
      </c>
      <c r="Q22" s="52">
        <f t="shared" si="5"/>
        <v>0</v>
      </c>
      <c r="R22" s="52">
        <f t="shared" si="6"/>
        <v>0</v>
      </c>
      <c r="S22" s="53">
        <f t="shared" si="1"/>
        <v>0</v>
      </c>
    </row>
    <row r="23" spans="1:19" ht="15">
      <c r="A23" s="5"/>
      <c r="B23" s="5"/>
      <c r="C23" s="49">
        <v>1</v>
      </c>
      <c r="D23" s="49"/>
      <c r="E23" s="49"/>
      <c r="F23" s="49"/>
      <c r="G23" s="49"/>
      <c r="H23" s="49"/>
      <c r="I23" s="49"/>
      <c r="J23" s="49"/>
      <c r="K23" s="49"/>
      <c r="L23" s="50">
        <f t="shared" si="8"/>
        <v>0</v>
      </c>
      <c r="M23" s="50">
        <f t="shared" si="2"/>
        <v>0</v>
      </c>
      <c r="N23" s="51">
        <f t="shared" si="0"/>
        <v>0</v>
      </c>
      <c r="O23" s="52">
        <f t="shared" si="3"/>
        <v>0</v>
      </c>
      <c r="P23" s="52">
        <f t="shared" si="4"/>
        <v>0</v>
      </c>
      <c r="Q23" s="52">
        <f t="shared" si="5"/>
        <v>0</v>
      </c>
      <c r="R23" s="52">
        <f t="shared" si="6"/>
        <v>0</v>
      </c>
      <c r="S23" s="53">
        <f t="shared" si="1"/>
        <v>0</v>
      </c>
    </row>
    <row r="24" spans="1:19" ht="15">
      <c r="A24" s="5"/>
      <c r="B24" s="5"/>
      <c r="C24" s="49">
        <v>1</v>
      </c>
      <c r="D24" s="49"/>
      <c r="E24" s="49"/>
      <c r="F24" s="49"/>
      <c r="G24" s="49"/>
      <c r="H24" s="49"/>
      <c r="I24" s="49"/>
      <c r="J24" s="49"/>
      <c r="K24" s="49"/>
      <c r="L24" s="50">
        <f t="shared" si="8"/>
        <v>0</v>
      </c>
      <c r="M24" s="50">
        <f t="shared" si="2"/>
        <v>0</v>
      </c>
      <c r="N24" s="51">
        <f t="shared" si="0"/>
        <v>0</v>
      </c>
      <c r="O24" s="52">
        <f t="shared" si="3"/>
        <v>0</v>
      </c>
      <c r="P24" s="52">
        <f t="shared" si="4"/>
        <v>0</v>
      </c>
      <c r="Q24" s="52">
        <f t="shared" si="5"/>
        <v>0</v>
      </c>
      <c r="R24" s="52">
        <f t="shared" si="6"/>
        <v>0</v>
      </c>
      <c r="S24" s="53">
        <f t="shared" si="1"/>
        <v>0</v>
      </c>
    </row>
    <row r="25" spans="1:19" ht="15">
      <c r="A25" s="5"/>
      <c r="B25" s="5"/>
      <c r="C25" s="49">
        <v>1</v>
      </c>
      <c r="D25" s="49"/>
      <c r="E25" s="49"/>
      <c r="F25" s="49"/>
      <c r="G25" s="49"/>
      <c r="H25" s="49"/>
      <c r="I25" s="49"/>
      <c r="J25" s="49"/>
      <c r="K25" s="49"/>
      <c r="L25" s="50">
        <f t="shared" si="8"/>
        <v>0</v>
      </c>
      <c r="M25" s="50">
        <f t="shared" si="2"/>
        <v>0</v>
      </c>
      <c r="N25" s="51">
        <f t="shared" si="0"/>
        <v>0</v>
      </c>
      <c r="O25" s="52">
        <f t="shared" si="3"/>
        <v>0</v>
      </c>
      <c r="P25" s="52">
        <f t="shared" si="4"/>
        <v>0</v>
      </c>
      <c r="Q25" s="52">
        <f t="shared" si="5"/>
        <v>0</v>
      </c>
      <c r="R25" s="52">
        <f t="shared" si="6"/>
        <v>0</v>
      </c>
      <c r="S25" s="53">
        <f t="shared" si="1"/>
        <v>0</v>
      </c>
    </row>
    <row r="26" spans="1:19" ht="24" customHeight="1">
      <c r="A26" s="16" t="s">
        <v>44</v>
      </c>
      <c r="B26" s="16" t="s">
        <v>71</v>
      </c>
      <c r="C26" s="54">
        <v>1</v>
      </c>
      <c r="D26" s="54"/>
      <c r="E26" s="54"/>
      <c r="F26" s="54"/>
      <c r="G26" s="54"/>
      <c r="H26" s="54"/>
      <c r="I26" s="54"/>
      <c r="J26" s="54"/>
      <c r="K26" s="54"/>
      <c r="L26" s="55">
        <f t="shared" si="8"/>
        <v>0</v>
      </c>
      <c r="M26" s="55">
        <f t="shared" si="2"/>
        <v>0</v>
      </c>
      <c r="N26" s="56">
        <f aca="true" t="shared" si="9" ref="N26:S26">SUM(N5:N25)</f>
        <v>167.63476638793944</v>
      </c>
      <c r="O26" s="56">
        <f t="shared" si="9"/>
        <v>32.7484130859375</v>
      </c>
      <c r="P26" s="56">
        <f t="shared" si="9"/>
        <v>84.42195716779679</v>
      </c>
      <c r="Q26" s="56">
        <f t="shared" si="9"/>
        <v>15.734288703070746</v>
      </c>
      <c r="R26" s="56">
        <f t="shared" si="9"/>
        <v>977.2265625</v>
      </c>
      <c r="S26" s="56">
        <f t="shared" si="9"/>
        <v>116.7831802368164</v>
      </c>
    </row>
  </sheetData>
  <mergeCells count="4">
    <mergeCell ref="I2:K2"/>
    <mergeCell ref="C2:H2"/>
    <mergeCell ref="A1:S1"/>
    <mergeCell ref="L2:S2"/>
  </mergeCells>
  <printOptions/>
  <pageMargins left="0.75" right="0.75" top="1" bottom="1" header="0.5" footer="0.5"/>
  <pageSetup fitToHeight="2" fitToWidth="1" horizontalDpi="355" verticalDpi="355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4">
      <selection activeCell="A8" sqref="A8:IV8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13" width="7.7109375" style="0" customWidth="1"/>
    <col min="15" max="15" width="7.7109375" style="0" customWidth="1"/>
    <col min="16" max="19" width="7.7109375" style="19" customWidth="1"/>
  </cols>
  <sheetData>
    <row r="1" spans="1:19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1"/>
      <c r="S1" s="41"/>
    </row>
    <row r="2" spans="1:19" ht="12.75">
      <c r="A2" s="5"/>
      <c r="B2" s="5"/>
      <c r="C2" s="36" t="s">
        <v>13</v>
      </c>
      <c r="D2" s="37"/>
      <c r="E2" s="37"/>
      <c r="F2" s="37"/>
      <c r="G2" s="37"/>
      <c r="H2" s="38"/>
      <c r="I2" s="35" t="s">
        <v>14</v>
      </c>
      <c r="J2" s="35"/>
      <c r="K2" s="35"/>
      <c r="L2" s="46" t="s">
        <v>15</v>
      </c>
      <c r="M2" s="46"/>
      <c r="N2" s="46"/>
      <c r="O2" s="42"/>
      <c r="P2" s="12"/>
      <c r="Q2" s="12"/>
      <c r="R2" s="18"/>
      <c r="S2" s="12"/>
    </row>
    <row r="3" spans="1:19" s="1" customFormat="1" ht="117" customHeight="1">
      <c r="A3" s="5" t="s">
        <v>1</v>
      </c>
      <c r="B3" s="5" t="s">
        <v>5</v>
      </c>
      <c r="C3" s="9" t="s">
        <v>7</v>
      </c>
      <c r="D3" s="9" t="s">
        <v>11</v>
      </c>
      <c r="E3" s="9" t="s">
        <v>39</v>
      </c>
      <c r="F3" s="9" t="s">
        <v>65</v>
      </c>
      <c r="G3" s="9" t="s">
        <v>38</v>
      </c>
      <c r="H3" s="9" t="s">
        <v>32</v>
      </c>
      <c r="I3" s="9" t="s">
        <v>2</v>
      </c>
      <c r="J3" s="9" t="s">
        <v>12</v>
      </c>
      <c r="K3" s="9" t="s">
        <v>3</v>
      </c>
      <c r="L3" s="10" t="s">
        <v>4</v>
      </c>
      <c r="M3" s="10" t="s">
        <v>61</v>
      </c>
      <c r="N3" s="13" t="s">
        <v>8</v>
      </c>
      <c r="O3" s="11" t="s">
        <v>68</v>
      </c>
      <c r="P3" s="11" t="s">
        <v>67</v>
      </c>
      <c r="Q3" s="11" t="s">
        <v>34</v>
      </c>
      <c r="R3" s="11" t="s">
        <v>69</v>
      </c>
      <c r="S3" s="11" t="s">
        <v>70</v>
      </c>
    </row>
    <row r="4" spans="1:19" ht="9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14"/>
      <c r="O4" s="8"/>
      <c r="P4" s="8"/>
      <c r="Q4" s="8"/>
      <c r="R4" s="8"/>
      <c r="S4" s="8"/>
    </row>
    <row r="5" spans="1:19" ht="28.5" customHeight="1">
      <c r="A5" s="5" t="s">
        <v>37</v>
      </c>
      <c r="B5" s="5" t="s">
        <v>36</v>
      </c>
      <c r="C5" s="4">
        <v>30</v>
      </c>
      <c r="D5" s="4">
        <v>1</v>
      </c>
      <c r="E5" s="12">
        <f>67000000/1024/1024*30/8</f>
        <v>239.6106719970703</v>
      </c>
      <c r="F5" s="12">
        <v>30</v>
      </c>
      <c r="G5" s="4">
        <v>1</v>
      </c>
      <c r="H5" s="4">
        <v>0.2</v>
      </c>
      <c r="I5" s="4">
        <v>1</v>
      </c>
      <c r="J5" s="12">
        <f>67000000/1024/1024*30/8</f>
        <v>239.6106719970703</v>
      </c>
      <c r="K5" s="4">
        <v>1</v>
      </c>
      <c r="L5" s="6">
        <f>1+K5</f>
        <v>2</v>
      </c>
      <c r="M5" s="6">
        <f>D5*H5</f>
        <v>0.2</v>
      </c>
      <c r="N5" s="14">
        <f>(D5*E5+I5*J5)/C5</f>
        <v>15.974044799804688</v>
      </c>
      <c r="O5" s="8">
        <f>IF($F5&gt;2000,$E5/$C5*365*86400/1024/1024,0)</f>
        <v>0</v>
      </c>
      <c r="P5" s="8">
        <f>IF($F5&lt;=2000,$E5/$C5*$F5*86400/1024/1024,0)</f>
        <v>19.743310986086726</v>
      </c>
      <c r="Q5" s="8">
        <f>$D5*$E5*$G5/$C5</f>
        <v>7.987022399902344</v>
      </c>
      <c r="R5" s="8">
        <f>L5*86400/C5/1024</f>
        <v>5.625</v>
      </c>
      <c r="S5" s="20">
        <f>M5/C5*365*86400/1024/1024</f>
        <v>0.20050048828125003</v>
      </c>
    </row>
    <row r="6" spans="1:19" ht="62.25" customHeight="1">
      <c r="A6" s="5" t="s">
        <v>29</v>
      </c>
      <c r="B6" s="5" t="s">
        <v>6</v>
      </c>
      <c r="C6" s="4">
        <v>1.25</v>
      </c>
      <c r="D6" s="4">
        <v>1</v>
      </c>
      <c r="E6" s="4">
        <v>16</v>
      </c>
      <c r="F6" s="4">
        <v>30</v>
      </c>
      <c r="G6" s="4">
        <v>1</v>
      </c>
      <c r="H6" s="4">
        <v>1.5</v>
      </c>
      <c r="I6" s="4">
        <v>1</v>
      </c>
      <c r="J6" s="4">
        <v>16</v>
      </c>
      <c r="K6" s="4">
        <v>0</v>
      </c>
      <c r="L6" s="6">
        <f>1+K6</f>
        <v>1</v>
      </c>
      <c r="M6" s="6">
        <f>D6*H6</f>
        <v>1.5</v>
      </c>
      <c r="N6" s="14">
        <f>(D6*E6+I6*J6)/C6</f>
        <v>25.6</v>
      </c>
      <c r="O6" s="8">
        <f>IF($F6&gt;2000,$E6/$C6*365*86400/1024/1024,0)</f>
        <v>0</v>
      </c>
      <c r="P6" s="8">
        <f>IF($F6&lt;=2000,$E6/$C6*$F6*86400/1024/1024,0)</f>
        <v>31.640625</v>
      </c>
      <c r="Q6" s="8">
        <f>$D6*$E6*$G6/$C6</f>
        <v>12.8</v>
      </c>
      <c r="R6" s="8">
        <f>L6*86400/C6/1024</f>
        <v>67.5</v>
      </c>
      <c r="S6" s="20">
        <f>M6/C6*365*86400/1024/1024</f>
        <v>36.090087890625</v>
      </c>
    </row>
    <row r="7" spans="1:19" ht="51" customHeight="1">
      <c r="A7" s="5" t="s">
        <v>30</v>
      </c>
      <c r="B7" s="5" t="s">
        <v>9</v>
      </c>
      <c r="C7" s="4">
        <v>1.25</v>
      </c>
      <c r="D7" s="4">
        <v>0</v>
      </c>
      <c r="E7" s="4"/>
      <c r="F7" s="4">
        <v>0</v>
      </c>
      <c r="G7" s="4">
        <v>0</v>
      </c>
      <c r="H7" s="4">
        <v>1.5</v>
      </c>
      <c r="I7" s="4">
        <v>0</v>
      </c>
      <c r="J7" s="4"/>
      <c r="K7" s="4">
        <v>3</v>
      </c>
      <c r="L7" s="6">
        <f>1+K7</f>
        <v>4</v>
      </c>
      <c r="M7" s="6">
        <f>D7*H7</f>
        <v>0</v>
      </c>
      <c r="N7" s="14">
        <f>(D7*E7+I7*J7)/C7</f>
        <v>0</v>
      </c>
      <c r="O7" s="8">
        <f>IF($F7&gt;2000,$E7/$C7*365*86400/1024/1024,0)</f>
        <v>0</v>
      </c>
      <c r="P7" s="8">
        <f>IF($F7&lt;=2000,$E7/$C7*$F7*86400/1024/1024,0)</f>
        <v>0</v>
      </c>
      <c r="Q7" s="8">
        <f>$D7*$E7*$G7/$C7</f>
        <v>0</v>
      </c>
      <c r="R7" s="8">
        <f>L7*86400/C7/1024</f>
        <v>270</v>
      </c>
      <c r="S7" s="20">
        <f>M7/C7*365*86400/1024/1024</f>
        <v>0</v>
      </c>
    </row>
    <row r="8" spans="1:19" ht="62.25" customHeight="1">
      <c r="A8" s="5" t="s">
        <v>31</v>
      </c>
      <c r="B8" s="5" t="s">
        <v>10</v>
      </c>
      <c r="C8" s="4">
        <v>1.25</v>
      </c>
      <c r="D8" s="4">
        <v>0</v>
      </c>
      <c r="E8" s="4">
        <v>0</v>
      </c>
      <c r="F8" s="4">
        <v>0</v>
      </c>
      <c r="G8" s="4">
        <v>0</v>
      </c>
      <c r="H8" s="4">
        <v>1.5</v>
      </c>
      <c r="I8" s="4">
        <v>0</v>
      </c>
      <c r="J8" s="4">
        <v>0</v>
      </c>
      <c r="K8" s="4">
        <v>4</v>
      </c>
      <c r="L8" s="6">
        <f>1+K8</f>
        <v>5</v>
      </c>
      <c r="M8" s="6">
        <f>D8*H8</f>
        <v>0</v>
      </c>
      <c r="N8" s="14">
        <f>(D8*E8+I8*J8)/C8</f>
        <v>0</v>
      </c>
      <c r="O8" s="8">
        <f>IF($F8&gt;2000,$E8/$C8*365*86400/1024/1024,0)</f>
        <v>0</v>
      </c>
      <c r="P8" s="8">
        <f>IF($F8&lt;=2000,$E8/$C8*$F8*86400/1024/1024,0)</f>
        <v>0</v>
      </c>
      <c r="Q8" s="8">
        <f>$D8*$E8*$G8/$C8</f>
        <v>0</v>
      </c>
      <c r="R8" s="8">
        <f>L8*86400/C8/1024</f>
        <v>337.5</v>
      </c>
      <c r="S8" s="20">
        <f>M8/C8*365*86400/1024/1024</f>
        <v>0</v>
      </c>
    </row>
    <row r="9" spans="1:19" ht="33.75" customHeight="1">
      <c r="A9" s="5"/>
      <c r="B9" s="5"/>
      <c r="C9" s="4">
        <v>1</v>
      </c>
      <c r="D9" s="4"/>
      <c r="E9" s="4"/>
      <c r="F9" s="4"/>
      <c r="G9" s="4"/>
      <c r="H9" s="4"/>
      <c r="I9" s="4"/>
      <c r="J9" s="4"/>
      <c r="K9" s="4"/>
      <c r="L9" s="6">
        <f>1+K9</f>
        <v>1</v>
      </c>
      <c r="M9" s="6">
        <f>D9*H9</f>
        <v>0</v>
      </c>
      <c r="N9" s="14">
        <f>(D9*E9+I9*J9)/C9</f>
        <v>0</v>
      </c>
      <c r="O9" s="8">
        <f>IF($F9&gt;2000,$E9/$C9*365*86400/1024/1024,0)</f>
        <v>0</v>
      </c>
      <c r="P9" s="8">
        <f>IF($F9&lt;=2000,$E9/$C9*$F9*86400/1024/1024,0)</f>
        <v>0</v>
      </c>
      <c r="Q9" s="8">
        <f>$D9*$E9*$G9/$C9</f>
        <v>0</v>
      </c>
      <c r="R9" s="8">
        <f>L9*86400/C9/1024</f>
        <v>84.375</v>
      </c>
      <c r="S9" s="20">
        <f>M9/C9*365*86400/1024/1024</f>
        <v>0</v>
      </c>
    </row>
    <row r="10" spans="1:19" ht="33.75" customHeight="1">
      <c r="A10" s="5"/>
      <c r="B10" s="5"/>
      <c r="C10" s="4">
        <v>1</v>
      </c>
      <c r="D10" s="4"/>
      <c r="E10" s="4"/>
      <c r="F10" s="4"/>
      <c r="G10" s="4"/>
      <c r="H10" s="4"/>
      <c r="I10" s="4"/>
      <c r="J10" s="4"/>
      <c r="K10" s="4"/>
      <c r="L10" s="6">
        <f>1+K10</f>
        <v>1</v>
      </c>
      <c r="M10" s="6">
        <f>D10*H10</f>
        <v>0</v>
      </c>
      <c r="N10" s="14">
        <f>(D10*E10+I10*J10)/C10</f>
        <v>0</v>
      </c>
      <c r="O10" s="8">
        <f>IF($F10&gt;2000,$E10/$C10*365*86400/1024/1024,0)</f>
        <v>0</v>
      </c>
      <c r="P10" s="8">
        <f>IF($F10&lt;=2000,$E10/$C10*$F10*86400/1024/1024,0)</f>
        <v>0</v>
      </c>
      <c r="Q10" s="8">
        <f>$D10*$E10*$G10/$C10</f>
        <v>0</v>
      </c>
      <c r="R10" s="8">
        <f>L10*86400/C10/1024</f>
        <v>84.375</v>
      </c>
      <c r="S10" s="20">
        <f>M10/C10*365*86400/1024/1024</f>
        <v>0</v>
      </c>
    </row>
    <row r="11" spans="1:19" ht="28.5" customHeight="1">
      <c r="A11" s="5" t="s">
        <v>42</v>
      </c>
      <c r="B11" s="5" t="s">
        <v>41</v>
      </c>
      <c r="C11" s="4"/>
      <c r="D11" s="4"/>
      <c r="E11" s="12"/>
      <c r="F11" s="12"/>
      <c r="G11" s="4"/>
      <c r="H11" s="4"/>
      <c r="I11" s="4"/>
      <c r="J11" s="12"/>
      <c r="K11" s="4"/>
      <c r="L11" s="28">
        <f>SUM(L5:L10)</f>
        <v>14</v>
      </c>
      <c r="M11" s="28">
        <f aca="true" t="shared" si="0" ref="M11:S11">SUM(M5:M10)</f>
        <v>1.7</v>
      </c>
      <c r="N11" s="28">
        <f t="shared" si="0"/>
        <v>41.57404479980469</v>
      </c>
      <c r="O11" s="28">
        <f t="shared" si="0"/>
        <v>0</v>
      </c>
      <c r="P11" s="28">
        <f t="shared" si="0"/>
        <v>51.383935986086726</v>
      </c>
      <c r="Q11" s="28">
        <f t="shared" si="0"/>
        <v>20.787022399902344</v>
      </c>
      <c r="R11" s="28">
        <f t="shared" si="0"/>
        <v>849.375</v>
      </c>
      <c r="S11" s="28">
        <f t="shared" si="0"/>
        <v>36.29058837890625</v>
      </c>
    </row>
  </sheetData>
  <mergeCells count="4">
    <mergeCell ref="A1:S1"/>
    <mergeCell ref="C2:H2"/>
    <mergeCell ref="I2:K2"/>
    <mergeCell ref="L2:O2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F7" sqref="F7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11" width="7.7109375" style="0" customWidth="1"/>
    <col min="12" max="19" width="7.7109375" style="25" customWidth="1"/>
  </cols>
  <sheetData>
    <row r="1" spans="1:19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1"/>
      <c r="S1" s="41"/>
    </row>
    <row r="2" spans="1:19" ht="12.75">
      <c r="A2" s="5"/>
      <c r="B2" s="5"/>
      <c r="C2" s="36" t="s">
        <v>13</v>
      </c>
      <c r="D2" s="37"/>
      <c r="E2" s="37"/>
      <c r="F2" s="37"/>
      <c r="G2" s="37"/>
      <c r="H2" s="38"/>
      <c r="I2" s="35" t="s">
        <v>14</v>
      </c>
      <c r="J2" s="35"/>
      <c r="K2" s="35"/>
      <c r="L2" s="47" t="s">
        <v>15</v>
      </c>
      <c r="M2" s="47"/>
      <c r="N2" s="47"/>
      <c r="O2" s="48"/>
      <c r="P2" s="20"/>
      <c r="Q2" s="20"/>
      <c r="R2" s="21"/>
      <c r="S2" s="20"/>
    </row>
    <row r="3" spans="1:19" s="1" customFormat="1" ht="117" customHeight="1">
      <c r="A3" s="5" t="s">
        <v>1</v>
      </c>
      <c r="B3" s="5" t="s">
        <v>5</v>
      </c>
      <c r="C3" s="9" t="s">
        <v>7</v>
      </c>
      <c r="D3" s="9" t="s">
        <v>11</v>
      </c>
      <c r="E3" s="9" t="s">
        <v>39</v>
      </c>
      <c r="F3" s="9" t="s">
        <v>65</v>
      </c>
      <c r="G3" s="9" t="s">
        <v>38</v>
      </c>
      <c r="H3" s="9" t="s">
        <v>32</v>
      </c>
      <c r="I3" s="9" t="s">
        <v>2</v>
      </c>
      <c r="J3" s="9" t="s">
        <v>12</v>
      </c>
      <c r="K3" s="9" t="s">
        <v>3</v>
      </c>
      <c r="L3" s="22" t="s">
        <v>4</v>
      </c>
      <c r="M3" s="22" t="s">
        <v>34</v>
      </c>
      <c r="N3" s="22" t="s">
        <v>62</v>
      </c>
      <c r="O3" s="23" t="s">
        <v>8</v>
      </c>
      <c r="P3" s="22" t="s">
        <v>33</v>
      </c>
      <c r="Q3" s="22" t="s">
        <v>54</v>
      </c>
      <c r="R3" s="22" t="s">
        <v>64</v>
      </c>
      <c r="S3" s="22" t="s">
        <v>63</v>
      </c>
    </row>
    <row r="4" spans="1:19" ht="7.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20"/>
      <c r="M4" s="20"/>
      <c r="N4" s="20"/>
      <c r="O4" s="24"/>
      <c r="P4" s="20"/>
      <c r="Q4" s="20"/>
      <c r="R4" s="20"/>
      <c r="S4" s="20"/>
    </row>
    <row r="5" spans="1:19" ht="33.75" customHeight="1">
      <c r="A5" s="5" t="s">
        <v>56</v>
      </c>
      <c r="B5" s="5" t="s">
        <v>57</v>
      </c>
      <c r="C5" s="4">
        <v>86400</v>
      </c>
      <c r="D5" s="4">
        <v>200</v>
      </c>
      <c r="E5" s="4">
        <v>0.5</v>
      </c>
      <c r="F5" s="4">
        <v>10000</v>
      </c>
      <c r="G5" s="4">
        <v>1</v>
      </c>
      <c r="H5" s="4">
        <v>0.4</v>
      </c>
      <c r="I5" s="4">
        <v>200</v>
      </c>
      <c r="J5" s="4">
        <v>0.5</v>
      </c>
      <c r="K5" s="4">
        <v>0</v>
      </c>
      <c r="L5" s="6">
        <f>1+K5</f>
        <v>1</v>
      </c>
      <c r="M5" s="6">
        <f>D5*H5</f>
        <v>80</v>
      </c>
      <c r="N5" s="14">
        <f>(D5*E5+I5*J5)/C5</f>
        <v>0.0023148148148148147</v>
      </c>
      <c r="O5" s="8">
        <f>IF($F5&gt;2000,$E5/$C5*365*86400/1024/1024,0)</f>
        <v>0.00017404556274414062</v>
      </c>
      <c r="P5" s="8">
        <f>IF($F5&lt;=2000,$E5/$C5*$F5*86400/1024/1024,0)</f>
        <v>0</v>
      </c>
      <c r="Q5" s="8">
        <f>$D5*$E5*$G5/$C5</f>
        <v>0.0011574074074074073</v>
      </c>
      <c r="R5" s="8">
        <f>L5*86400/C5/1024</f>
        <v>0.0009765625</v>
      </c>
      <c r="S5" s="20">
        <f>M5/C5*365*86400/1024/1024</f>
        <v>0.0278472900390625</v>
      </c>
    </row>
    <row r="6" spans="1:19" ht="42" customHeight="1">
      <c r="A6" s="5" t="s">
        <v>58</v>
      </c>
      <c r="B6" s="5" t="s">
        <v>59</v>
      </c>
      <c r="C6" s="4">
        <v>86400</v>
      </c>
      <c r="D6" s="4">
        <f>40*6</f>
        <v>240</v>
      </c>
      <c r="E6" s="4">
        <v>24</v>
      </c>
      <c r="F6" s="4">
        <v>10000</v>
      </c>
      <c r="G6" s="4">
        <v>1</v>
      </c>
      <c r="H6" s="4">
        <v>1</v>
      </c>
      <c r="I6" s="4">
        <f>40*6</f>
        <v>240</v>
      </c>
      <c r="J6" s="4">
        <v>24</v>
      </c>
      <c r="K6" s="4">
        <v>0</v>
      </c>
      <c r="L6" s="6">
        <f>1+K6</f>
        <v>1</v>
      </c>
      <c r="M6" s="6">
        <f>D6*H6</f>
        <v>240</v>
      </c>
      <c r="N6" s="14">
        <f>(D6*E6+I6*J6)/C6</f>
        <v>0.13333333333333333</v>
      </c>
      <c r="O6" s="8">
        <f>IF($F6&gt;2000,$E6/$C6*365*86400/1024/1024,0)</f>
        <v>0.00835418701171875</v>
      </c>
      <c r="P6" s="8">
        <f>IF($F6&lt;=2000,$E6/$C6*$F6*86400/1024/1024,0)</f>
        <v>0</v>
      </c>
      <c r="Q6" s="8">
        <f>$D6*$E6*$G6/$C6</f>
        <v>0.06666666666666667</v>
      </c>
      <c r="R6" s="8">
        <f>L6*86400/C6/1024</f>
        <v>0.0009765625</v>
      </c>
      <c r="S6" s="20">
        <f>M6/C6*365*86400/1024/1024</f>
        <v>0.0835418701171875</v>
      </c>
    </row>
    <row r="7" spans="1:19" ht="33.75" customHeight="1">
      <c r="A7" s="5"/>
      <c r="B7" s="5"/>
      <c r="C7" s="4">
        <v>1</v>
      </c>
      <c r="D7" s="4"/>
      <c r="E7" s="4"/>
      <c r="F7" s="4"/>
      <c r="G7" s="4"/>
      <c r="H7" s="4"/>
      <c r="I7" s="4"/>
      <c r="J7" s="4"/>
      <c r="K7" s="4"/>
      <c r="L7" s="6">
        <f>1+K7</f>
        <v>1</v>
      </c>
      <c r="M7" s="6">
        <f>D7*H7</f>
        <v>0</v>
      </c>
      <c r="N7" s="14">
        <f>(D7*E7+I7*J7)/C7</f>
        <v>0</v>
      </c>
      <c r="O7" s="8">
        <f>IF($F7&gt;2000,$E7/$C7*365*86400/1024/1024,0)</f>
        <v>0</v>
      </c>
      <c r="P7" s="8">
        <f>IF($F7&lt;=2000,$E7/$C7*$F7*86400/1024/1024,0)</f>
        <v>0</v>
      </c>
      <c r="Q7" s="8">
        <f>$D7*$E7*$G7/$C7</f>
        <v>0</v>
      </c>
      <c r="R7" s="8">
        <f>L7*86400/C7/1024</f>
        <v>84.375</v>
      </c>
      <c r="S7" s="20">
        <f>M7/C7*365*86400/1024/1024</f>
        <v>0</v>
      </c>
    </row>
    <row r="8" spans="1:19" ht="33.75" customHeight="1">
      <c r="A8" s="5"/>
      <c r="B8" s="5"/>
      <c r="C8" s="4">
        <v>1</v>
      </c>
      <c r="D8" s="4"/>
      <c r="E8" s="4"/>
      <c r="F8" s="4"/>
      <c r="G8" s="4"/>
      <c r="H8" s="4"/>
      <c r="I8" s="4"/>
      <c r="J8" s="4"/>
      <c r="K8" s="4"/>
      <c r="L8" s="6">
        <f>1+K8</f>
        <v>1</v>
      </c>
      <c r="M8" s="6">
        <f>D8*H8</f>
        <v>0</v>
      </c>
      <c r="N8" s="14">
        <f>(D8*E8+I8*J8)/C8</f>
        <v>0</v>
      </c>
      <c r="O8" s="8">
        <f>IF($F8&gt;2000,$E8/$C8*365*86400/1024/1024,0)</f>
        <v>0</v>
      </c>
      <c r="P8" s="8">
        <f>IF($F8&lt;=2000,$E8/$C8*$F8*86400/1024/1024,0)</f>
        <v>0</v>
      </c>
      <c r="Q8" s="8">
        <f>$D8*$E8*$G8/$C8</f>
        <v>0</v>
      </c>
      <c r="R8" s="8">
        <f>L8*86400/C8/1024</f>
        <v>84.375</v>
      </c>
      <c r="S8" s="20">
        <f>M8/C8*365*86400/1024/1024</f>
        <v>0</v>
      </c>
    </row>
    <row r="9" spans="1:19" ht="28.5" customHeight="1">
      <c r="A9" s="5"/>
      <c r="B9" s="5" t="s">
        <v>60</v>
      </c>
      <c r="C9" s="4">
        <v>1</v>
      </c>
      <c r="D9" s="4"/>
      <c r="E9" s="12"/>
      <c r="F9" s="12"/>
      <c r="G9" s="4"/>
      <c r="H9" s="4"/>
      <c r="I9" s="4"/>
      <c r="J9" s="12"/>
      <c r="K9" s="4"/>
      <c r="L9" s="20">
        <f>SUM(L5:L8)</f>
        <v>4</v>
      </c>
      <c r="M9" s="20">
        <f aca="true" t="shared" si="0" ref="M9:S9">SUM(M5:M8)</f>
        <v>320</v>
      </c>
      <c r="N9" s="20">
        <f t="shared" si="0"/>
        <v>0.13564814814814816</v>
      </c>
      <c r="O9" s="20">
        <f t="shared" si="0"/>
        <v>0.00852823257446289</v>
      </c>
      <c r="P9" s="20">
        <f t="shared" si="0"/>
        <v>0</v>
      </c>
      <c r="Q9" s="20">
        <f t="shared" si="0"/>
        <v>0.06782407407407408</v>
      </c>
      <c r="R9" s="20">
        <f t="shared" si="0"/>
        <v>168.751953125</v>
      </c>
      <c r="S9" s="20">
        <f t="shared" si="0"/>
        <v>0.11138916015625</v>
      </c>
    </row>
  </sheetData>
  <mergeCells count="4">
    <mergeCell ref="A1:S1"/>
    <mergeCell ref="C2:H2"/>
    <mergeCell ref="I2:K2"/>
    <mergeCell ref="L2:O2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S5" sqref="S5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15" width="7.7109375" style="0" customWidth="1"/>
    <col min="16" max="19" width="7.7109375" style="19" customWidth="1"/>
  </cols>
  <sheetData>
    <row r="1" spans="1:19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1"/>
      <c r="S1" s="41"/>
    </row>
    <row r="2" spans="1:19" ht="12.75">
      <c r="A2" s="5"/>
      <c r="B2" s="5"/>
      <c r="C2" s="36" t="s">
        <v>13</v>
      </c>
      <c r="D2" s="37"/>
      <c r="E2" s="37"/>
      <c r="F2" s="37"/>
      <c r="G2" s="37"/>
      <c r="H2" s="38"/>
      <c r="I2" s="35" t="s">
        <v>14</v>
      </c>
      <c r="J2" s="35"/>
      <c r="K2" s="35"/>
      <c r="L2" s="46" t="s">
        <v>15</v>
      </c>
      <c r="M2" s="46"/>
      <c r="N2" s="46"/>
      <c r="O2" s="42"/>
      <c r="P2" s="8"/>
      <c r="Q2" s="8"/>
      <c r="R2" s="17"/>
      <c r="S2" s="8"/>
    </row>
    <row r="3" spans="1:19" s="1" customFormat="1" ht="117" customHeight="1">
      <c r="A3" s="5" t="s">
        <v>1</v>
      </c>
      <c r="B3" s="5" t="s">
        <v>5</v>
      </c>
      <c r="C3" s="9" t="s">
        <v>7</v>
      </c>
      <c r="D3" s="9" t="s">
        <v>11</v>
      </c>
      <c r="E3" s="9" t="s">
        <v>39</v>
      </c>
      <c r="F3" s="9" t="s">
        <v>65</v>
      </c>
      <c r="G3" s="9" t="s">
        <v>38</v>
      </c>
      <c r="H3" s="9" t="s">
        <v>32</v>
      </c>
      <c r="I3" s="9" t="s">
        <v>2</v>
      </c>
      <c r="J3" s="9" t="s">
        <v>12</v>
      </c>
      <c r="K3" s="9" t="s">
        <v>3</v>
      </c>
      <c r="L3" s="10" t="s">
        <v>4</v>
      </c>
      <c r="M3" s="11" t="s">
        <v>34</v>
      </c>
      <c r="N3" s="10" t="s">
        <v>61</v>
      </c>
      <c r="O3" s="13" t="s">
        <v>8</v>
      </c>
      <c r="P3" s="11" t="s">
        <v>33</v>
      </c>
      <c r="Q3" s="11" t="s">
        <v>54</v>
      </c>
      <c r="R3" s="11" t="s">
        <v>64</v>
      </c>
      <c r="S3" s="11" t="s">
        <v>63</v>
      </c>
    </row>
    <row r="4" spans="1:19" ht="7.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6"/>
      <c r="M4" s="8"/>
      <c r="N4" s="6"/>
      <c r="O4" s="14"/>
      <c r="P4" s="8"/>
      <c r="Q4" s="8"/>
      <c r="R4" s="8"/>
      <c r="S4" s="8"/>
    </row>
    <row r="5" spans="1:19" ht="33.75" customHeight="1">
      <c r="A5" s="5"/>
      <c r="B5" s="5"/>
      <c r="C5" s="4">
        <v>1</v>
      </c>
      <c r="D5" s="4"/>
      <c r="E5" s="4"/>
      <c r="F5" s="4"/>
      <c r="G5" s="4"/>
      <c r="H5" s="4"/>
      <c r="I5" s="4"/>
      <c r="J5" s="4"/>
      <c r="K5" s="4"/>
      <c r="L5" s="6">
        <f>1+K5</f>
        <v>1</v>
      </c>
      <c r="M5" s="6">
        <f>D5*H5</f>
        <v>0</v>
      </c>
      <c r="N5" s="14">
        <f>(D5*E5+I5*J5)/C5</f>
        <v>0</v>
      </c>
      <c r="O5" s="8">
        <f>IF($F5&gt;2000,$E5/$C5*365*86400/1024/1024,0)</f>
        <v>0</v>
      </c>
      <c r="P5" s="8">
        <f>IF($F5&lt;=2000,$E5/$C5*$F5*86400/1024/1024,0)</f>
        <v>0</v>
      </c>
      <c r="Q5" s="8">
        <f>$D5*$E5*$G5/$C5</f>
        <v>0</v>
      </c>
      <c r="R5" s="8">
        <f>L5*86400/C5/1024</f>
        <v>84.375</v>
      </c>
      <c r="S5" s="20">
        <f>M5/C5*365*86400/1024/1024</f>
        <v>0</v>
      </c>
    </row>
    <row r="6" spans="1:19" ht="33.75" customHeight="1">
      <c r="A6" s="5"/>
      <c r="B6" s="5"/>
      <c r="C6" s="4">
        <v>1</v>
      </c>
      <c r="D6" s="4"/>
      <c r="E6" s="4"/>
      <c r="F6" s="4"/>
      <c r="G6" s="4"/>
      <c r="H6" s="4"/>
      <c r="I6" s="4"/>
      <c r="J6" s="4"/>
      <c r="K6" s="4"/>
      <c r="L6" s="6">
        <f>1+K6</f>
        <v>1</v>
      </c>
      <c r="M6" s="6">
        <f>D6*H6</f>
        <v>0</v>
      </c>
      <c r="N6" s="14">
        <f>(D6*E6+I6*J6)/C6</f>
        <v>0</v>
      </c>
      <c r="O6" s="8">
        <f>IF($F6&gt;2000,$E6/$C6*365*86400/1024/1024,0)</f>
        <v>0</v>
      </c>
      <c r="P6" s="8">
        <f>IF($F6&lt;=2000,$E6/$C6*$F6*86400/1024/1024,0)</f>
        <v>0</v>
      </c>
      <c r="Q6" s="8">
        <f>$D6*$E6*$G6/$C6</f>
        <v>0</v>
      </c>
      <c r="R6" s="8">
        <f>L6*86400/C6/1024</f>
        <v>84.375</v>
      </c>
      <c r="S6" s="20">
        <f>M6/C6*365*86400/1024/1024</f>
        <v>0</v>
      </c>
    </row>
    <row r="7" spans="1:19" ht="33.75" customHeight="1">
      <c r="A7" s="5"/>
      <c r="B7" s="5"/>
      <c r="C7" s="4">
        <v>1</v>
      </c>
      <c r="D7" s="4"/>
      <c r="E7" s="4"/>
      <c r="F7" s="4"/>
      <c r="G7" s="4"/>
      <c r="H7" s="4"/>
      <c r="I7" s="4"/>
      <c r="J7" s="4"/>
      <c r="K7" s="4"/>
      <c r="L7" s="6">
        <f>1+K7</f>
        <v>1</v>
      </c>
      <c r="M7" s="6">
        <f>D7*H7</f>
        <v>0</v>
      </c>
      <c r="N7" s="14">
        <f>(D7*E7+I7*J7)/C7</f>
        <v>0</v>
      </c>
      <c r="O7" s="8">
        <f>IF($F7&gt;2000,$E7/$C7*365*86400/1024/1024,0)</f>
        <v>0</v>
      </c>
      <c r="P7" s="8">
        <f>IF($F7&lt;=2000,$E7/$C7*$F7*86400/1024/1024,0)</f>
        <v>0</v>
      </c>
      <c r="Q7" s="8">
        <f>$D7*$E7*$G7/$C7</f>
        <v>0</v>
      </c>
      <c r="R7" s="8">
        <f>L7*86400/C7/1024</f>
        <v>84.375</v>
      </c>
      <c r="S7" s="20">
        <f>M7/C7*365*86400/1024/1024</f>
        <v>0</v>
      </c>
    </row>
    <row r="8" spans="1:19" ht="33.75" customHeight="1">
      <c r="A8" s="5"/>
      <c r="B8" s="5"/>
      <c r="C8" s="4">
        <v>1</v>
      </c>
      <c r="D8" s="4"/>
      <c r="E8" s="4"/>
      <c r="F8" s="4"/>
      <c r="G8" s="4"/>
      <c r="H8" s="4"/>
      <c r="I8" s="4"/>
      <c r="J8" s="4"/>
      <c r="K8" s="4"/>
      <c r="L8" s="6">
        <f>1+K8</f>
        <v>1</v>
      </c>
      <c r="M8" s="6">
        <f>D8*H8</f>
        <v>0</v>
      </c>
      <c r="N8" s="14">
        <f>(D8*E8+I8*J8)/C8</f>
        <v>0</v>
      </c>
      <c r="O8" s="8">
        <f>IF($F8&gt;2000,$E8/$C8*365*86400/1024/1024,0)</f>
        <v>0</v>
      </c>
      <c r="P8" s="8">
        <f>IF($F8&lt;=2000,$E8/$C8*$F8*86400/1024/1024,0)</f>
        <v>0</v>
      </c>
      <c r="Q8" s="8">
        <f>$D8*$E8*$G8/$C8</f>
        <v>0</v>
      </c>
      <c r="R8" s="8">
        <f>L8*86400/C8/1024</f>
        <v>84.375</v>
      </c>
      <c r="S8" s="20">
        <f>M8/C8*365*86400/1024/1024</f>
        <v>0</v>
      </c>
    </row>
    <row r="9" spans="1:19" ht="28.5" customHeight="1">
      <c r="A9" s="5"/>
      <c r="B9" s="5" t="s">
        <v>41</v>
      </c>
      <c r="C9" s="4">
        <v>1</v>
      </c>
      <c r="D9" s="4"/>
      <c r="E9" s="12"/>
      <c r="F9" s="12"/>
      <c r="G9" s="4"/>
      <c r="H9" s="4"/>
      <c r="I9" s="4"/>
      <c r="J9" s="12"/>
      <c r="K9" s="4"/>
      <c r="L9" s="6">
        <f>SUM(L5:L8)</f>
        <v>4</v>
      </c>
      <c r="M9" s="6">
        <f aca="true" t="shared" si="0" ref="M9:S9">SUM(M5:M8)</f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337.5</v>
      </c>
      <c r="S9" s="6">
        <f t="shared" si="0"/>
        <v>0</v>
      </c>
    </row>
  </sheetData>
  <mergeCells count="4">
    <mergeCell ref="A1:S1"/>
    <mergeCell ref="C2:H2"/>
    <mergeCell ref="I2:K2"/>
    <mergeCell ref="L2:O2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Scherrer</dc:creator>
  <cp:keywords/>
  <dc:description/>
  <cp:lastModifiedBy> Philip Scherrer</cp:lastModifiedBy>
  <cp:lastPrinted>2007-09-06T17:31:36Z</cp:lastPrinted>
  <dcterms:created xsi:type="dcterms:W3CDTF">2007-09-05T23:28:26Z</dcterms:created>
  <dcterms:modified xsi:type="dcterms:W3CDTF">2007-09-24T20:14:22Z</dcterms:modified>
  <cp:category/>
  <cp:version/>
  <cp:contentType/>
  <cp:contentStatus/>
</cp:coreProperties>
</file>